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123\DAKO\2024\"/>
    </mc:Choice>
  </mc:AlternateContent>
  <xr:revisionPtr revIDLastSave="0" documentId="13_ncr:1_{561E86E0-CB97-46D4-98A4-48BFAE4F6DC7}" xr6:coauthVersionLast="47" xr6:coauthVersionMax="47" xr10:uidLastSave="{00000000-0000-0000-0000-000000000000}"/>
  <workbookProtection workbookAlgorithmName="SHA-512" workbookHashValue="3gt5LbqLfFxiFMSQ8pPfZ5sPfuqdrAGGoZjAlUI2y6L4e+aC1FsozqaZZL6CUchO2enpmvABdr93brcSkxFiGg==" workbookSaltValue="iga99sYzUJVV83QletgQ5g==" workbookSpinCount="100000" lockStructure="1"/>
  <bookViews>
    <workbookView showHorizontalScroll="0" showSheetTabs="0" xWindow="-28920" yWindow="2175" windowWidth="29040" windowHeight="15840" xr2:uid="{50919F7B-B0BA-45C5-897F-0AF9A0B42F9B}"/>
    <workbookView visibility="hidden" showHorizontalScroll="0" showSheetTabs="0" xWindow="-28920" yWindow="2175" windowWidth="29040" windowHeight="15840" xr2:uid="{60A538D5-38F6-4B4A-815B-13F23FFE0E5F}"/>
  </bookViews>
  <sheets>
    <sheet name="Formulář" sheetId="1" r:id="rId1"/>
    <sheet name="Data" sheetId="2" state="hidden" r:id="rId2"/>
  </sheets>
  <definedNames>
    <definedName name="cena1">Data!$C$8:$F$27</definedName>
    <definedName name="kazetove">Data!$C$8:$C$27</definedName>
    <definedName name="plne">Data!$E$8:$E$27</definedName>
    <definedName name="rady3">Data!$C$8:$C$27</definedName>
    <definedName name="rady4">Data!$D$8:$D$27</definedName>
    <definedName name="sirka">Data!$G$8:$G$27</definedName>
    <definedName name="typ">Data!$C$1:$C$4</definedName>
    <definedName name="typy">Data!$B$6:$E$6</definedName>
    <definedName name="zaporna">Data!$O$12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" l="1"/>
  <c r="O11" i="2"/>
  <c r="I3" i="2" l="1"/>
  <c r="N23" i="2" s="1"/>
  <c r="H33" i="2"/>
  <c r="H34" i="2" s="1"/>
  <c r="M8" i="2"/>
  <c r="N25" i="2"/>
  <c r="D35" i="2"/>
  <c r="Q21" i="2"/>
  <c r="H38" i="2" s="1"/>
  <c r="N33" i="2" s="1"/>
  <c r="A39" i="2"/>
  <c r="L15" i="1" s="1"/>
  <c r="L38" i="2"/>
  <c r="L39" i="2"/>
  <c r="Q22" i="2"/>
  <c r="L34" i="2"/>
  <c r="L37" i="2"/>
  <c r="M6" i="1"/>
  <c r="M8" i="1"/>
  <c r="E35" i="2" l="1"/>
  <c r="N28" i="2" s="1"/>
  <c r="L35" i="2"/>
  <c r="N29" i="2" s="1"/>
  <c r="L40" i="2"/>
  <c r="N31" i="2" s="1"/>
  <c r="H35" i="2"/>
  <c r="H36" i="2" s="1"/>
  <c r="N24" i="2" s="1"/>
  <c r="O13" i="2"/>
  <c r="O12" i="2"/>
  <c r="H37" i="2"/>
  <c r="N27" i="2" s="1"/>
  <c r="O35" i="2" l="1"/>
  <c r="N26" i="2"/>
  <c r="N30" i="2" s="1"/>
  <c r="N32" i="2" s="1"/>
  <c r="N34" i="2" s="1"/>
  <c r="N36" i="2" s="1"/>
  <c r="L41" i="1" l="1"/>
  <c r="N40" i="1" s="1"/>
  <c r="P41" i="1"/>
</calcChain>
</file>

<file path=xl/sharedStrings.xml><?xml version="1.0" encoding="utf-8"?>
<sst xmlns="http://schemas.openxmlformats.org/spreadsheetml/2006/main" count="160" uniqueCount="142">
  <si>
    <t>Provedení dveří</t>
  </si>
  <si>
    <t>Šířka montážního otvoru:</t>
  </si>
  <si>
    <t>Výška montážního otvoru:</t>
  </si>
  <si>
    <t>Výpočet ceny dřevěných lamelových dveří</t>
  </si>
  <si>
    <t>Provedení</t>
  </si>
  <si>
    <t>Jednokřídlé</t>
  </si>
  <si>
    <t>Dvoukřídlé</t>
  </si>
  <si>
    <t>Barva</t>
  </si>
  <si>
    <t>Dřevo</t>
  </si>
  <si>
    <t>Sklo</t>
  </si>
  <si>
    <t>Uzávěr</t>
  </si>
  <si>
    <t>Kleština</t>
  </si>
  <si>
    <t>Oboustranný zámek</t>
  </si>
  <si>
    <t>Magnet</t>
  </si>
  <si>
    <t>Koule</t>
  </si>
  <si>
    <t>Blanka</t>
  </si>
  <si>
    <t>Celodřevěný úchyt</t>
  </si>
  <si>
    <t>Ostatní</t>
  </si>
  <si>
    <t>Spodní vedení dveří</t>
  </si>
  <si>
    <t>Slevy</t>
  </si>
  <si>
    <t>Zvolte typ dveří</t>
  </si>
  <si>
    <t>3 řady skel</t>
  </si>
  <si>
    <t>4 řady skel</t>
  </si>
  <si>
    <t>Dveře plné - bez skel</t>
  </si>
  <si>
    <t>Dveře kazetové - místo skla kazety</t>
  </si>
  <si>
    <t>DS03</t>
  </si>
  <si>
    <t>DS04</t>
  </si>
  <si>
    <t>DP00</t>
  </si>
  <si>
    <t>DPV0</t>
  </si>
  <si>
    <t>Šířka dveří</t>
  </si>
  <si>
    <t>řádek</t>
  </si>
  <si>
    <t>sloupec</t>
  </si>
  <si>
    <t>šířka</t>
  </si>
  <si>
    <t>provedení</t>
  </si>
  <si>
    <t>Cena</t>
  </si>
  <si>
    <t>výška</t>
  </si>
  <si>
    <t>příplatek</t>
  </si>
  <si>
    <t>lamela</t>
  </si>
  <si>
    <t>Zvolte výšku montážního otvoru</t>
  </si>
  <si>
    <t>197 (standard)</t>
  </si>
  <si>
    <t>méně než 197 cm (atyp)</t>
  </si>
  <si>
    <t>197 cm (standard)</t>
  </si>
  <si>
    <t>198 - 200 cm (atyp)</t>
  </si>
  <si>
    <t>201 - 210 cm (atyp)</t>
  </si>
  <si>
    <t>211 - 220 cm (atyp)</t>
  </si>
  <si>
    <t>dub</t>
  </si>
  <si>
    <t>1 - bílá</t>
  </si>
  <si>
    <t>2 - přírodní</t>
  </si>
  <si>
    <t>3 - rustik</t>
  </si>
  <si>
    <t>4 - dub</t>
  </si>
  <si>
    <t>5 - mahagon</t>
  </si>
  <si>
    <t>6 - hnědá</t>
  </si>
  <si>
    <t>7 - palisandr</t>
  </si>
  <si>
    <t>8 - eben</t>
  </si>
  <si>
    <t>9 - masív lak</t>
  </si>
  <si>
    <t>10 - zlatohnědá</t>
  </si>
  <si>
    <t>11 - buk</t>
  </si>
  <si>
    <t>jednokřídlé</t>
  </si>
  <si>
    <t>dvoukřídlé</t>
  </si>
  <si>
    <t>počet lamel</t>
  </si>
  <si>
    <t>počet - 6lamel</t>
  </si>
  <si>
    <t>cena/lamelu</t>
  </si>
  <si>
    <t>výška dveří (řádek)</t>
  </si>
  <si>
    <t>Za šířku</t>
  </si>
  <si>
    <t>Počet lamel</t>
  </si>
  <si>
    <t>kleština</t>
  </si>
  <si>
    <t>oboustranný zámek</t>
  </si>
  <si>
    <t>magnet</t>
  </si>
  <si>
    <t>Madlo</t>
  </si>
  <si>
    <t>Dřevěná doraz. lišta</t>
  </si>
  <si>
    <t>Zákl. cena</t>
  </si>
  <si>
    <t>Výška</t>
  </si>
  <si>
    <t>Šířka</t>
  </si>
  <si>
    <t>Zavírání</t>
  </si>
  <si>
    <t>Doraz + vedení</t>
  </si>
  <si>
    <t>vlastní barva</t>
  </si>
  <si>
    <t>bez madel</t>
  </si>
  <si>
    <t>bez uzávěru</t>
  </si>
  <si>
    <t>Součet</t>
  </si>
  <si>
    <t>90 cm (atyp)</t>
  </si>
  <si>
    <t>Zvolte druh dřeva</t>
  </si>
  <si>
    <t>smrk</t>
  </si>
  <si>
    <t>borovice</t>
  </si>
  <si>
    <t>modřín</t>
  </si>
  <si>
    <t>jasan</t>
  </si>
  <si>
    <t>Materál</t>
  </si>
  <si>
    <t>Zvolte typ skla</t>
  </si>
  <si>
    <t>čiré</t>
  </si>
  <si>
    <t>kouřové</t>
  </si>
  <si>
    <t>80 cm (standard)</t>
  </si>
  <si>
    <t>70 cm (standard)</t>
  </si>
  <si>
    <t>60 cm (standard)</t>
  </si>
  <si>
    <t>Mat./lamela</t>
  </si>
  <si>
    <t>Materiál</t>
  </si>
  <si>
    <t xml:space="preserve">Dřevěná dorazová lišta     </t>
  </si>
  <si>
    <t xml:space="preserve">Spodní vedení dveří     </t>
  </si>
  <si>
    <t xml:space="preserve">Vlastní barva     </t>
  </si>
  <si>
    <t xml:space="preserve">Bez madel     </t>
  </si>
  <si>
    <t xml:space="preserve">Bez uzávěru     </t>
  </si>
  <si>
    <t>Zkontrolujte zadání, někde je chyba.</t>
  </si>
  <si>
    <t>198 cm (atyp)</t>
  </si>
  <si>
    <t>199 cm (atyp)</t>
  </si>
  <si>
    <t>200 cm (atyp)</t>
  </si>
  <si>
    <t>201 cm (atyp)</t>
  </si>
  <si>
    <t>202 cm (atyp)</t>
  </si>
  <si>
    <t>203 cm (atyp)</t>
  </si>
  <si>
    <t>204 cm (atyp)</t>
  </si>
  <si>
    <t>205 cm (atyp)</t>
  </si>
  <si>
    <t>206 cm (atyp)</t>
  </si>
  <si>
    <t>207 cm (atyp)</t>
  </si>
  <si>
    <t>208 cm (atyp)</t>
  </si>
  <si>
    <t>209 cm (atyp)</t>
  </si>
  <si>
    <t>210 cm (atyp)</t>
  </si>
  <si>
    <t>211 cm (atyp)</t>
  </si>
  <si>
    <t>212 cm (atyp)</t>
  </si>
  <si>
    <t>213 cm (atyp)</t>
  </si>
  <si>
    <t>214 cm (atyp)</t>
  </si>
  <si>
    <t>215 cm (atyp)</t>
  </si>
  <si>
    <t>216 cm (atyp)</t>
  </si>
  <si>
    <t>217 cm (atyp)</t>
  </si>
  <si>
    <t>218 cm (atyp)</t>
  </si>
  <si>
    <t>219 cm (atyp)</t>
  </si>
  <si>
    <t>220 cm (atyp)</t>
  </si>
  <si>
    <t>www.chadalik.cz</t>
  </si>
  <si>
    <t>100 cm (atyp)</t>
  </si>
  <si>
    <t>110 cm (atyp)</t>
  </si>
  <si>
    <t>120 cm (atyp)</t>
  </si>
  <si>
    <t>130 cm (atyp)</t>
  </si>
  <si>
    <t>140 cm (atyp)</t>
  </si>
  <si>
    <t>150 cm (atyp)</t>
  </si>
  <si>
    <t>160 cm (atyp)</t>
  </si>
  <si>
    <t>170 cm (atyp)</t>
  </si>
  <si>
    <t>180 cm (atyp)</t>
  </si>
  <si>
    <t>190 cm (atyp)</t>
  </si>
  <si>
    <t>230 cm (atyp)</t>
  </si>
  <si>
    <t>240 cm (atyp)</t>
  </si>
  <si>
    <t>250 cm (atyp)</t>
  </si>
  <si>
    <t>Cena s DPH</t>
  </si>
  <si>
    <t>Cena celkem s DPH</t>
  </si>
  <si>
    <t>varování dvoukřídlé</t>
  </si>
  <si>
    <t>Dvoukřídlá verze</t>
  </si>
  <si>
    <t>12 - antik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</si>
</sst>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Trebuchet MS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5"/>
      <name val="Arial"/>
      <family val="2"/>
      <charset val="238"/>
    </font>
    <font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11"/>
      <name val="Arial"/>
      <family val="2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9" fillId="0" borderId="0" xfId="0" applyFont="1"/>
    <xf numFmtId="16" fontId="0" fillId="0" borderId="0" xfId="0" quotePrefix="1" applyNumberFormat="1"/>
    <xf numFmtId="164" fontId="7" fillId="0" borderId="0" xfId="0" applyNumberFormat="1" applyFont="1"/>
    <xf numFmtId="0" fontId="10" fillId="0" borderId="0" xfId="0" applyFont="1"/>
    <xf numFmtId="0" fontId="1" fillId="0" borderId="0" xfId="0" applyFont="1"/>
    <xf numFmtId="0" fontId="1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vertical="top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14" fillId="0" borderId="0" xfId="0" applyFont="1"/>
    <xf numFmtId="0" fontId="0" fillId="0" borderId="5" xfId="0" applyBorder="1"/>
    <xf numFmtId="0" fontId="4" fillId="0" borderId="0" xfId="0" applyFont="1"/>
    <xf numFmtId="0" fontId="20" fillId="0" borderId="0" xfId="1" applyFont="1" applyAlignment="1" applyProtection="1"/>
    <xf numFmtId="0" fontId="2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3" borderId="0" xfId="0" applyFill="1" applyProtection="1">
      <protection locked="0"/>
    </xf>
    <xf numFmtId="164" fontId="7" fillId="0" borderId="0" xfId="0" applyNumberFormat="1" applyFont="1" applyProtection="1">
      <protection locked="0"/>
    </xf>
    <xf numFmtId="164" fontId="7" fillId="0" borderId="6" xfId="0" applyNumberFormat="1" applyFont="1" applyBorder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164" fontId="2" fillId="0" borderId="0" xfId="0" applyNumberFormat="1" applyFont="1"/>
    <xf numFmtId="164" fontId="21" fillId="0" borderId="0" xfId="0" applyNumberFormat="1" applyFont="1"/>
    <xf numFmtId="0" fontId="0" fillId="3" borderId="0" xfId="0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4" fillId="0" borderId="0" xfId="0" applyNumberFormat="1" applyFont="1"/>
    <xf numFmtId="0" fontId="6" fillId="0" borderId="7" xfId="0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5"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22" fmlaLink="Data!$I$2" fmlaRange="Data!$A$1:$A$5" noThreeD="1" sel="4" val="0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Drop" dropLines="12" dropStyle="combo" dx="22" fmlaLink="Data!$O$6" fmlaRange="Data!$I$6:$K$30" noThreeD="1" sel="3" val="0"/>
</file>

<file path=xl/ctrlProps/ctrlProp13.xml><?xml version="1.0" encoding="utf-8"?>
<formControlPr xmlns="http://schemas.microsoft.com/office/spreadsheetml/2009/9/main" objectType="CheckBox" fmlaLink="Data!$I$33" lockText="1" noThreeD="1"/>
</file>

<file path=xl/ctrlProps/ctrlProp14.xml><?xml version="1.0" encoding="utf-8"?>
<formControlPr xmlns="http://schemas.microsoft.com/office/spreadsheetml/2009/9/main" objectType="CheckBox" fmlaLink="Data!$I$34" lockText="1" noThreeD="1"/>
</file>

<file path=xl/ctrlProps/ctrlProp15.xml><?xml version="1.0" encoding="utf-8"?>
<formControlPr xmlns="http://schemas.microsoft.com/office/spreadsheetml/2009/9/main" objectType="CheckBox" fmlaLink="Data!$I$37" lockText="1" noThreeD="1"/>
</file>

<file path=xl/ctrlProps/ctrlProp16.xml><?xml version="1.0" encoding="utf-8"?>
<formControlPr xmlns="http://schemas.microsoft.com/office/spreadsheetml/2009/9/main" objectType="CheckBox" fmlaLink="Data!$I$38" lockText="1" noThreeD="1"/>
</file>

<file path=xl/ctrlProps/ctrlProp17.xml><?xml version="1.0" encoding="utf-8"?>
<formControlPr xmlns="http://schemas.microsoft.com/office/spreadsheetml/2009/9/main" objectType="CheckBox" fmlaLink="Data!$I$39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Drop" dropStyle="combo" dx="22" fmlaLink="Data!$I$1" fmlaRange="Data!$A$7:$A$27" noThreeD="1" sel="5" val="0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Data!$A$3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5" dropStyle="combo" dx="22" fmlaLink="$I$2" fmlaRange="$A$1:$A$5" noThreeD="1" sel="4" val="0"/>
</file>

<file path=xl/ctrlProps/ctrlProp24.xml><?xml version="1.0" encoding="utf-8"?>
<formControlPr xmlns="http://schemas.microsoft.com/office/spreadsheetml/2009/9/main" objectType="Drop" dropLines="15" dropStyle="combo" dx="22" fmlaLink="$I$1" fmlaRange="$A$7:$A$27" noThreeD="1" sel="5" val="3"/>
</file>

<file path=xl/ctrlProps/ctrlProp25.xml><?xml version="1.0" encoding="utf-8"?>
<formControlPr xmlns="http://schemas.microsoft.com/office/spreadsheetml/2009/9/main" objectType="Drop" dropLines="15" dropStyle="combo" dx="22" fmlaLink="$O$6" fmlaRange="$I$6:$K$30" noThreeD="1" sel="3" val="0"/>
</file>

<file path=xl/ctrlProps/ctrlProp26.xml><?xml version="1.0" encoding="utf-8"?>
<formControlPr xmlns="http://schemas.microsoft.com/office/spreadsheetml/2009/9/main" objectType="Drop" dropLines="12" dropStyle="combo" dx="22" fmlaLink="$N$11" fmlaRange="$M$11:$M$22" noThreeD="1" sel="10" val="0"/>
</file>

<file path=xl/ctrlProps/ctrlProp27.xml><?xml version="1.0" encoding="utf-8"?>
<formControlPr xmlns="http://schemas.microsoft.com/office/spreadsheetml/2009/9/main" objectType="CheckBox" fmlaLink="$I$33" lockText="1" noThreeD="1"/>
</file>

<file path=xl/ctrlProps/ctrlProp28.xml><?xml version="1.0" encoding="utf-8"?>
<formControlPr xmlns="http://schemas.microsoft.com/office/spreadsheetml/2009/9/main" objectType="CheckBox" fmlaLink="$I$34" lockText="1" noThreeD="1"/>
</file>

<file path=xl/ctrlProps/ctrlProp29.xml><?xml version="1.0" encoding="utf-8"?>
<formControlPr xmlns="http://schemas.microsoft.com/office/spreadsheetml/2009/9/main" objectType="CheckBox" fmlaLink="$I$37" lockText="1" noThreeD="1"/>
</file>

<file path=xl/ctrlProps/ctrlProp3.xml><?xml version="1.0" encoding="utf-8"?>
<formControlPr xmlns="http://schemas.microsoft.com/office/spreadsheetml/2009/9/main" objectType="Drop" dropLines="12" dropStyle="combo" dx="22" fmlaLink="Data!$N$11" fmlaRange="Data!$M$11:$M$22" noThreeD="1" sel="10" val="0"/>
</file>

<file path=xl/ctrlProps/ctrlProp30.xml><?xml version="1.0" encoding="utf-8"?>
<formControlPr xmlns="http://schemas.microsoft.com/office/spreadsheetml/2009/9/main" objectType="CheckBox" fmlaLink="$I$38" lockText="1" noThreeD="1"/>
</file>

<file path=xl/ctrlProps/ctrlProp31.xml><?xml version="1.0" encoding="utf-8"?>
<formControlPr xmlns="http://schemas.microsoft.com/office/spreadsheetml/2009/9/main" objectType="CheckBox" fmlaLink="$I$39" lockText="1" noThreeD="1"/>
</file>

<file path=xl/ctrlProps/ctrlProp32.xml><?xml version="1.0" encoding="utf-8"?>
<formControlPr xmlns="http://schemas.microsoft.com/office/spreadsheetml/2009/9/main" objectType="Drop" dropLines="6" dropStyle="combo" dx="22" fmlaLink="$Q$14" fmlaRange="$P$14:$P$19" noThreeD="1" sel="2" val="0"/>
</file>

<file path=xl/ctrlProps/ctrlProp4.xml><?xml version="1.0" encoding="utf-8"?>
<formControlPr xmlns="http://schemas.microsoft.com/office/spreadsheetml/2009/9/main" objectType="Drop" dropLines="6" dropStyle="combo" dx="22" fmlaLink="Data!$Q$14" fmlaRange="Data!$P$14:$P$19" noThreeD="1" sel="2" val="0"/>
</file>

<file path=xl/ctrlProps/ctrlProp5.xml><?xml version="1.0" encoding="utf-8"?>
<formControlPr xmlns="http://schemas.microsoft.com/office/spreadsheetml/2009/9/main" objectType="Drop" dropStyle="combo" dx="22" fmlaRange="Data!$P$25:$P$27" noThreeD="1" sel="1" val="0"/>
</file>

<file path=xl/ctrlProps/ctrlProp6.xml><?xml version="1.0" encoding="utf-8"?>
<formControlPr xmlns="http://schemas.microsoft.com/office/spreadsheetml/2009/9/main" objectType="Radio" firstButton="1" fmlaLink="Data!$D$34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Data!$D$39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200025</xdr:rowOff>
    </xdr:from>
    <xdr:to>
      <xdr:col>14</xdr:col>
      <xdr:colOff>371475</xdr:colOff>
      <xdr:row>44</xdr:row>
      <xdr:rowOff>152400</xdr:rowOff>
    </xdr:to>
    <xdr:sp macro="" textlink="">
      <xdr:nvSpPr>
        <xdr:cNvPr id="1085" name="Rectangle 28" descr="www.chadalik.cz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3067050" y="523875"/>
          <a:ext cx="6029325" cy="763905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40</xdr:row>
      <xdr:rowOff>314325</xdr:rowOff>
    </xdr:from>
    <xdr:to>
      <xdr:col>11</xdr:col>
      <xdr:colOff>838200</xdr:colOff>
      <xdr:row>40</xdr:row>
      <xdr:rowOff>314325</xdr:rowOff>
    </xdr:to>
    <xdr:sp macro="" textlink="">
      <xdr:nvSpPr>
        <xdr:cNvPr id="1086" name="Line 2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4924425" y="7458075"/>
          <a:ext cx="22955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142875</xdr:rowOff>
        </xdr:from>
        <xdr:to>
          <xdr:col>11</xdr:col>
          <xdr:colOff>523875</xdr:colOff>
          <xdr:row>6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171450</xdr:rowOff>
        </xdr:from>
        <xdr:to>
          <xdr:col>11</xdr:col>
          <xdr:colOff>523875</xdr:colOff>
          <xdr:row>8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523875</xdr:colOff>
          <xdr:row>17</xdr:row>
          <xdr:rowOff>38100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161925</xdr:rowOff>
        </xdr:from>
        <xdr:to>
          <xdr:col>11</xdr:col>
          <xdr:colOff>523875</xdr:colOff>
          <xdr:row>19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133350</xdr:rowOff>
        </xdr:from>
        <xdr:to>
          <xdr:col>11</xdr:col>
          <xdr:colOff>523875</xdr:colOff>
          <xdr:row>20</xdr:row>
          <xdr:rowOff>171450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390525</xdr:rowOff>
        </xdr:from>
        <xdr:to>
          <xdr:col>10</xdr:col>
          <xdr:colOff>295275</xdr:colOff>
          <xdr:row>23</xdr:row>
          <xdr:rowOff>38100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23</xdr:row>
          <xdr:rowOff>57150</xdr:rowOff>
        </xdr:from>
        <xdr:to>
          <xdr:col>10</xdr:col>
          <xdr:colOff>295275</xdr:colOff>
          <xdr:row>25</xdr:row>
          <xdr:rowOff>28575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25</xdr:row>
          <xdr:rowOff>57150</xdr:rowOff>
        </xdr:from>
        <xdr:to>
          <xdr:col>10</xdr:col>
          <xdr:colOff>295275</xdr:colOff>
          <xdr:row>27</xdr:row>
          <xdr:rowOff>28575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21</xdr:row>
          <xdr:rowOff>390525</xdr:rowOff>
        </xdr:from>
        <xdr:to>
          <xdr:col>10</xdr:col>
          <xdr:colOff>704850</xdr:colOff>
          <xdr:row>23</xdr:row>
          <xdr:rowOff>38100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23</xdr:row>
          <xdr:rowOff>47625</xdr:rowOff>
        </xdr:from>
        <xdr:to>
          <xdr:col>10</xdr:col>
          <xdr:colOff>704850</xdr:colOff>
          <xdr:row>25</xdr:row>
          <xdr:rowOff>19050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25</xdr:row>
          <xdr:rowOff>47625</xdr:rowOff>
        </xdr:from>
        <xdr:to>
          <xdr:col>10</xdr:col>
          <xdr:colOff>704850</xdr:colOff>
          <xdr:row>27</xdr:row>
          <xdr:rowOff>19050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523875</xdr:colOff>
          <xdr:row>10</xdr:row>
          <xdr:rowOff>38100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33</xdr:row>
          <xdr:rowOff>0</xdr:rowOff>
        </xdr:from>
        <xdr:to>
          <xdr:col>11</xdr:col>
          <xdr:colOff>247650</xdr:colOff>
          <xdr:row>33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34</xdr:row>
          <xdr:rowOff>9525</xdr:rowOff>
        </xdr:from>
        <xdr:to>
          <xdr:col>11</xdr:col>
          <xdr:colOff>247650</xdr:colOff>
          <xdr:row>35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36</xdr:row>
          <xdr:rowOff>28575</xdr:rowOff>
        </xdr:from>
        <xdr:to>
          <xdr:col>11</xdr:col>
          <xdr:colOff>247650</xdr:colOff>
          <xdr:row>37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37</xdr:row>
          <xdr:rowOff>28575</xdr:rowOff>
        </xdr:from>
        <xdr:to>
          <xdr:col>11</xdr:col>
          <xdr:colOff>247650</xdr:colOff>
          <xdr:row>38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38</xdr:row>
          <xdr:rowOff>38100</xdr:rowOff>
        </xdr:from>
        <xdr:to>
          <xdr:col>11</xdr:col>
          <xdr:colOff>247650</xdr:colOff>
          <xdr:row>39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21</xdr:row>
          <xdr:rowOff>200025</xdr:rowOff>
        </xdr:from>
        <xdr:to>
          <xdr:col>13</xdr:col>
          <xdr:colOff>38100</xdr:colOff>
          <xdr:row>27</xdr:row>
          <xdr:rowOff>57150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21</xdr:row>
          <xdr:rowOff>200025</xdr:rowOff>
        </xdr:from>
        <xdr:to>
          <xdr:col>10</xdr:col>
          <xdr:colOff>266700</xdr:colOff>
          <xdr:row>27</xdr:row>
          <xdr:rowOff>57150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Zavírání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11</xdr:row>
          <xdr:rowOff>123825</xdr:rowOff>
        </xdr:from>
        <xdr:to>
          <xdr:col>10</xdr:col>
          <xdr:colOff>628650</xdr:colOff>
          <xdr:row>15</xdr:row>
          <xdr:rowOff>66675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Provedení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12</xdr:row>
          <xdr:rowOff>28575</xdr:rowOff>
        </xdr:from>
        <xdr:to>
          <xdr:col>10</xdr:col>
          <xdr:colOff>552450</xdr:colOff>
          <xdr:row>13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13</xdr:row>
          <xdr:rowOff>9525</xdr:rowOff>
        </xdr:from>
        <xdr:to>
          <xdr:col>10</xdr:col>
          <xdr:colOff>552450</xdr:colOff>
          <xdr:row>14</xdr:row>
          <xdr:rowOff>190500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19050</xdr:rowOff>
        </xdr:from>
        <xdr:to>
          <xdr:col>12</xdr:col>
          <xdr:colOff>800100</xdr:colOff>
          <xdr:row>1</xdr:row>
          <xdr:rowOff>38100</xdr:rowOff>
        </xdr:to>
        <xdr:sp macro="" textlink="">
          <xdr:nvSpPr>
            <xdr:cNvPr id="2088" name="Drop Dow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</xdr:row>
          <xdr:rowOff>171450</xdr:rowOff>
        </xdr:from>
        <xdr:to>
          <xdr:col>12</xdr:col>
          <xdr:colOff>809625</xdr:colOff>
          <xdr:row>3</xdr:row>
          <xdr:rowOff>9525</xdr:rowOff>
        </xdr:to>
        <xdr:sp macro="" textlink="">
          <xdr:nvSpPr>
            <xdr:cNvPr id="2089" name="Drop Dow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152400</xdr:rowOff>
        </xdr:from>
        <xdr:to>
          <xdr:col>12</xdr:col>
          <xdr:colOff>819150</xdr:colOff>
          <xdr:row>5</xdr:row>
          <xdr:rowOff>19050</xdr:rowOff>
        </xdr:to>
        <xdr:sp macro="" textlink="">
          <xdr:nvSpPr>
            <xdr:cNvPr id="2090" name="Drop Dow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</xdr:row>
          <xdr:rowOff>171450</xdr:rowOff>
        </xdr:from>
        <xdr:to>
          <xdr:col>15</xdr:col>
          <xdr:colOff>457200</xdr:colOff>
          <xdr:row>4</xdr:row>
          <xdr:rowOff>9525</xdr:rowOff>
        </xdr:to>
        <xdr:sp macro="" textlink="">
          <xdr:nvSpPr>
            <xdr:cNvPr id="2105" name="Drop Dow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123825</xdr:rowOff>
        </xdr:from>
        <xdr:to>
          <xdr:col>8</xdr:col>
          <xdr:colOff>381000</xdr:colOff>
          <xdr:row>32</xdr:row>
          <xdr:rowOff>152400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133350</xdr:rowOff>
        </xdr:from>
        <xdr:to>
          <xdr:col>8</xdr:col>
          <xdr:colOff>381000</xdr:colOff>
          <xdr:row>34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142875</xdr:rowOff>
        </xdr:from>
        <xdr:to>
          <xdr:col>8</xdr:col>
          <xdr:colOff>752475</xdr:colOff>
          <xdr:row>37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36</xdr:row>
          <xdr:rowOff>142875</xdr:rowOff>
        </xdr:from>
        <xdr:to>
          <xdr:col>8</xdr:col>
          <xdr:colOff>752475</xdr:colOff>
          <xdr:row>38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142875</xdr:rowOff>
        </xdr:from>
        <xdr:to>
          <xdr:col>8</xdr:col>
          <xdr:colOff>752475</xdr:colOff>
          <xdr:row>39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19050</xdr:rowOff>
        </xdr:from>
        <xdr:to>
          <xdr:col>15</xdr:col>
          <xdr:colOff>1085850</xdr:colOff>
          <xdr:row>32</xdr:row>
          <xdr:rowOff>38100</xdr:rowOff>
        </xdr:to>
        <xdr:sp macro="" textlink="">
          <xdr:nvSpPr>
            <xdr:cNvPr id="2173" name="Drop Dow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chadalik.cz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C3:P47"/>
  <sheetViews>
    <sheetView showGridLines="0" tabSelected="1" topLeftCell="A2" zoomScaleNormal="100" workbookViewId="0">
      <selection activeCell="P34" sqref="P34"/>
    </sheetView>
    <sheetView showGridLines="0" showRowColHeaders="0" tabSelected="1" zoomScaleNormal="100" workbookViewId="1">
      <selection activeCell="P26" sqref="P26"/>
    </sheetView>
  </sheetViews>
  <sheetFormatPr defaultRowHeight="12.75" x14ac:dyDescent="0.2"/>
  <cols>
    <col min="1" max="3" width="9.140625" style="18"/>
    <col min="4" max="4" width="8.7109375" style="18" customWidth="1"/>
    <col min="5" max="9" width="9.140625" style="18"/>
    <col min="10" max="10" width="2" style="18" customWidth="1"/>
    <col min="11" max="11" width="11.85546875" style="18" customWidth="1"/>
    <col min="12" max="12" width="12.85546875" style="18" customWidth="1"/>
    <col min="13" max="13" width="9.140625" style="18"/>
    <col min="14" max="14" width="13.140625" style="18" customWidth="1"/>
    <col min="15" max="15" width="13.28515625" style="18" customWidth="1"/>
    <col min="16" max="16" width="14.85546875" style="18" bestFit="1" customWidth="1"/>
    <col min="17" max="16384" width="9.140625" style="18"/>
  </cols>
  <sheetData>
    <row r="3" spans="9:16" s="12" customFormat="1" ht="28.5" customHeight="1" x14ac:dyDescent="0.2"/>
    <row r="4" spans="9:16" ht="24.75" customHeight="1" x14ac:dyDescent="0.2">
      <c r="I4" s="12"/>
      <c r="J4" s="12"/>
      <c r="K4" s="35" t="s">
        <v>3</v>
      </c>
    </row>
    <row r="6" spans="9:16" ht="15.75" x14ac:dyDescent="0.25">
      <c r="I6" s="36" t="s">
        <v>0</v>
      </c>
      <c r="M6" s="37" t="str">
        <f>IF(Data!I2=1,"Zadejte typ dveří","")</f>
        <v/>
      </c>
      <c r="O6" s="12"/>
    </row>
    <row r="7" spans="9:16" ht="14.25" x14ac:dyDescent="0.2">
      <c r="I7" s="36"/>
    </row>
    <row r="8" spans="9:16" ht="15.75" x14ac:dyDescent="0.25">
      <c r="I8" s="36" t="s">
        <v>1</v>
      </c>
      <c r="M8" s="37" t="str">
        <f>IF(Data!I1=1,"Zadejte šířku dveří","")</f>
        <v/>
      </c>
    </row>
    <row r="9" spans="9:16" ht="14.25" x14ac:dyDescent="0.2">
      <c r="I9" s="36"/>
    </row>
    <row r="10" spans="9:16" ht="14.25" x14ac:dyDescent="0.2">
      <c r="I10" s="36" t="s">
        <v>2</v>
      </c>
    </row>
    <row r="12" spans="9:16" ht="13.5" customHeight="1" x14ac:dyDescent="0.2">
      <c r="I12" s="36"/>
      <c r="K12" s="38" t="s">
        <v>4</v>
      </c>
    </row>
    <row r="13" spans="9:16" ht="18" customHeight="1" x14ac:dyDescent="0.2">
      <c r="I13" s="36" t="s">
        <v>5</v>
      </c>
    </row>
    <row r="14" spans="9:16" ht="3" customHeight="1" x14ac:dyDescent="0.2">
      <c r="I14" s="36"/>
      <c r="N14" s="18">
        <v>1</v>
      </c>
    </row>
    <row r="15" spans="9:16" ht="15.75" x14ac:dyDescent="0.25">
      <c r="I15" s="36" t="s">
        <v>6</v>
      </c>
      <c r="L15" s="37" t="str">
        <f>IF(Data!$A$39&lt;&gt;3,"",IF(Data!$I$1&lt;8,"Minimální šířka musí být 120cm",""))</f>
        <v/>
      </c>
      <c r="P15" s="37"/>
    </row>
    <row r="16" spans="9:16" ht="18" customHeight="1" x14ac:dyDescent="0.2">
      <c r="I16" s="36"/>
    </row>
    <row r="17" spans="9:12" ht="14.25" x14ac:dyDescent="0.2">
      <c r="I17" s="36" t="s">
        <v>7</v>
      </c>
    </row>
    <row r="18" spans="9:12" ht="14.25" x14ac:dyDescent="0.2">
      <c r="I18" s="36"/>
    </row>
    <row r="19" spans="9:12" ht="14.25" x14ac:dyDescent="0.2">
      <c r="I19" s="36" t="s">
        <v>8</v>
      </c>
    </row>
    <row r="20" spans="9:12" ht="14.25" x14ac:dyDescent="0.2">
      <c r="I20" s="36"/>
    </row>
    <row r="21" spans="9:12" ht="14.25" x14ac:dyDescent="0.2">
      <c r="I21" s="36" t="s">
        <v>9</v>
      </c>
    </row>
    <row r="22" spans="9:12" ht="24" customHeight="1" x14ac:dyDescent="0.2">
      <c r="I22" s="36"/>
      <c r="K22" s="38" t="s">
        <v>10</v>
      </c>
    </row>
    <row r="23" spans="9:12" ht="14.25" x14ac:dyDescent="0.2">
      <c r="I23" s="36" t="s">
        <v>11</v>
      </c>
      <c r="L23" s="39" t="s">
        <v>14</v>
      </c>
    </row>
    <row r="24" spans="9:12" ht="5.25" customHeight="1" x14ac:dyDescent="0.2">
      <c r="I24" s="36"/>
      <c r="L24" s="40"/>
    </row>
    <row r="25" spans="9:12" ht="14.25" x14ac:dyDescent="0.2">
      <c r="I25" s="36" t="s">
        <v>13</v>
      </c>
      <c r="L25" s="39" t="s">
        <v>15</v>
      </c>
    </row>
    <row r="26" spans="9:12" ht="5.25" customHeight="1" x14ac:dyDescent="0.2">
      <c r="L26" s="40"/>
    </row>
    <row r="27" spans="9:12" ht="14.25" x14ac:dyDescent="0.2">
      <c r="I27" s="36" t="s">
        <v>12</v>
      </c>
      <c r="L27" s="39" t="s">
        <v>16</v>
      </c>
    </row>
    <row r="28" spans="9:12" ht="14.25" x14ac:dyDescent="0.2">
      <c r="I28" s="36"/>
    </row>
    <row r="29" spans="9:12" ht="15.75" hidden="1" x14ac:dyDescent="0.2">
      <c r="I29" s="36"/>
      <c r="K29" s="41" t="s">
        <v>68</v>
      </c>
    </row>
    <row r="30" spans="9:12" ht="19.5" hidden="1" customHeight="1" x14ac:dyDescent="0.2">
      <c r="I30" s="42" t="s">
        <v>14</v>
      </c>
    </row>
    <row r="31" spans="9:12" ht="19.5" hidden="1" customHeight="1" x14ac:dyDescent="0.2">
      <c r="I31" s="42" t="s">
        <v>15</v>
      </c>
    </row>
    <row r="32" spans="9:12" ht="19.5" hidden="1" customHeight="1" x14ac:dyDescent="0.2">
      <c r="I32" s="42" t="s">
        <v>16</v>
      </c>
    </row>
    <row r="33" spans="3:16" ht="21.75" customHeight="1" x14ac:dyDescent="0.2">
      <c r="I33" s="36"/>
      <c r="K33" s="41" t="s">
        <v>17</v>
      </c>
    </row>
    <row r="34" spans="3:16" ht="18" customHeight="1" x14ac:dyDescent="0.2">
      <c r="K34" s="42" t="s">
        <v>94</v>
      </c>
    </row>
    <row r="35" spans="3:16" ht="18" customHeight="1" x14ac:dyDescent="0.2">
      <c r="K35" s="42" t="s">
        <v>95</v>
      </c>
    </row>
    <row r="36" spans="3:16" ht="24" customHeight="1" x14ac:dyDescent="0.2">
      <c r="I36" s="36"/>
      <c r="K36" s="41" t="s">
        <v>19</v>
      </c>
    </row>
    <row r="37" spans="3:16" ht="19.5" customHeight="1" x14ac:dyDescent="0.2">
      <c r="K37" s="36" t="s">
        <v>96</v>
      </c>
    </row>
    <row r="38" spans="3:16" ht="19.5" customHeight="1" x14ac:dyDescent="0.2">
      <c r="K38" s="36" t="s">
        <v>97</v>
      </c>
    </row>
    <row r="39" spans="3:16" ht="19.5" customHeight="1" x14ac:dyDescent="0.2">
      <c r="K39" s="36" t="s">
        <v>98</v>
      </c>
    </row>
    <row r="40" spans="3:16" x14ac:dyDescent="0.2">
      <c r="N40" s="43" t="b">
        <f>ISERROR(L41)</f>
        <v>0</v>
      </c>
    </row>
    <row r="41" spans="3:16" ht="27" customHeight="1" x14ac:dyDescent="0.2">
      <c r="G41" s="44"/>
      <c r="H41" s="44"/>
      <c r="J41" s="45"/>
      <c r="K41" s="46" t="s">
        <v>138</v>
      </c>
      <c r="L41" s="47">
        <f>IF(Data!$I$1=1,"",IF(Data!$I$2=1,"",Data!$N$36))</f>
        <v>7252.4375</v>
      </c>
      <c r="M41" s="48"/>
      <c r="P41" s="49">
        <f>IF(Data!$I$1=1,"",IF(Data!$I$2=1,"",Data!$N$36))</f>
        <v>7252.4375</v>
      </c>
    </row>
    <row r="42" spans="3:16" x14ac:dyDescent="0.2">
      <c r="L42" s="50"/>
    </row>
    <row r="43" spans="3:16" ht="15.75" x14ac:dyDescent="0.2">
      <c r="C43" s="48"/>
      <c r="D43" s="48"/>
      <c r="I43" s="48" t="s">
        <v>99</v>
      </c>
      <c r="K43" s="21"/>
    </row>
    <row r="47" spans="3:16" x14ac:dyDescent="0.2">
      <c r="K47" s="21" t="s">
        <v>123</v>
      </c>
    </row>
  </sheetData>
  <sheetProtection algorithmName="SHA-512" hashValue="ezallItG6CF1fRV+WkfJulKYNEBiAUp+lAGOnzQZn/DFH9G7FqZSFai0qMMF2bOisQb7ZaSM8I3aoTSBvR9ngA==" saltValue="wE5WQE/CHMbXtICIGMotqw==" spinCount="100000" sheet="1" selectLockedCells="1"/>
  <phoneticPr fontId="3" type="noConversion"/>
  <conditionalFormatting sqref="C43">
    <cfRule type="expression" dxfId="4" priority="3" stopIfTrue="1">
      <formula>$P$41="x"</formula>
    </cfRule>
  </conditionalFormatting>
  <conditionalFormatting sqref="D43 I43">
    <cfRule type="expression" dxfId="3" priority="4" stopIfTrue="1">
      <formula>$P$41=""</formula>
    </cfRule>
  </conditionalFormatting>
  <conditionalFormatting sqref="M6 M8 L15 P15">
    <cfRule type="expression" dxfId="2" priority="2" stopIfTrue="1">
      <formula>$O$6=TRUE</formula>
    </cfRule>
  </conditionalFormatting>
  <conditionalFormatting sqref="M41">
    <cfRule type="expression" dxfId="1" priority="1" stopIfTrue="1">
      <formula>$N$40=TRUE</formula>
    </cfRule>
  </conditionalFormatting>
  <hyperlinks>
    <hyperlink ref="K47" r:id="rId1" xr:uid="{00000000-0004-0000-0000-000000000000}"/>
  </hyperlinks>
  <pageMargins left="0.78740157499999996" right="0.78740157499999996" top="0.984251969" bottom="0.984251969" header="0.4921259845" footer="0.4921259845"/>
  <pageSetup paperSize="17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10</xdr:col>
                    <xdr:colOff>0</xdr:colOff>
                    <xdr:row>4</xdr:row>
                    <xdr:rowOff>142875</xdr:rowOff>
                  </from>
                  <to>
                    <xdr:col>11</xdr:col>
                    <xdr:colOff>523875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10</xdr:col>
                    <xdr:colOff>0</xdr:colOff>
                    <xdr:row>6</xdr:row>
                    <xdr:rowOff>171450</xdr:rowOff>
                  </from>
                  <to>
                    <xdr:col>11</xdr:col>
                    <xdr:colOff>523875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11</xdr:col>
                    <xdr:colOff>523875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10</xdr:col>
                    <xdr:colOff>0</xdr:colOff>
                    <xdr:row>17</xdr:row>
                    <xdr:rowOff>161925</xdr:rowOff>
                  </from>
                  <to>
                    <xdr:col>11</xdr:col>
                    <xdr:colOff>523875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10</xdr:col>
                    <xdr:colOff>0</xdr:colOff>
                    <xdr:row>19</xdr:row>
                    <xdr:rowOff>133350</xdr:rowOff>
                  </from>
                  <to>
                    <xdr:col>11</xdr:col>
                    <xdr:colOff>523875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390525</xdr:rowOff>
                  </from>
                  <to>
                    <xdr:col>10</xdr:col>
                    <xdr:colOff>295275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defaultSize="0" autoFill="0" autoLine="0" autoPict="0">
                <anchor moveWithCells="1">
                  <from>
                    <xdr:col>9</xdr:col>
                    <xdr:colOff>123825</xdr:colOff>
                    <xdr:row>23</xdr:row>
                    <xdr:rowOff>57150</xdr:rowOff>
                  </from>
                  <to>
                    <xdr:col>10</xdr:col>
                    <xdr:colOff>295275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9</xdr:col>
                    <xdr:colOff>123825</xdr:colOff>
                    <xdr:row>25</xdr:row>
                    <xdr:rowOff>57150</xdr:rowOff>
                  </from>
                  <to>
                    <xdr:col>10</xdr:col>
                    <xdr:colOff>295275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10</xdr:col>
                    <xdr:colOff>400050</xdr:colOff>
                    <xdr:row>21</xdr:row>
                    <xdr:rowOff>390525</xdr:rowOff>
                  </from>
                  <to>
                    <xdr:col>10</xdr:col>
                    <xdr:colOff>704850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10</xdr:col>
                    <xdr:colOff>400050</xdr:colOff>
                    <xdr:row>23</xdr:row>
                    <xdr:rowOff>47625</xdr:rowOff>
                  </from>
                  <to>
                    <xdr:col>10</xdr:col>
                    <xdr:colOff>704850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10</xdr:col>
                    <xdr:colOff>400050</xdr:colOff>
                    <xdr:row>25</xdr:row>
                    <xdr:rowOff>47625</xdr:rowOff>
                  </from>
                  <to>
                    <xdr:col>10</xdr:col>
                    <xdr:colOff>704850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Drop Down 15">
              <controlPr defaultSize="0" autoLine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11</xdr:col>
                    <xdr:colOff>523875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10</xdr:col>
                    <xdr:colOff>733425</xdr:colOff>
                    <xdr:row>33</xdr:row>
                    <xdr:rowOff>0</xdr:rowOff>
                  </from>
                  <to>
                    <xdr:col>11</xdr:col>
                    <xdr:colOff>247650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10</xdr:col>
                    <xdr:colOff>733425</xdr:colOff>
                    <xdr:row>34</xdr:row>
                    <xdr:rowOff>9525</xdr:rowOff>
                  </from>
                  <to>
                    <xdr:col>11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733425</xdr:colOff>
                    <xdr:row>36</xdr:row>
                    <xdr:rowOff>28575</xdr:rowOff>
                  </from>
                  <to>
                    <xdr:col>11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10</xdr:col>
                    <xdr:colOff>733425</xdr:colOff>
                    <xdr:row>37</xdr:row>
                    <xdr:rowOff>28575</xdr:rowOff>
                  </from>
                  <to>
                    <xdr:col>11</xdr:col>
                    <xdr:colOff>247650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10</xdr:col>
                    <xdr:colOff>733425</xdr:colOff>
                    <xdr:row>38</xdr:row>
                    <xdr:rowOff>38100</xdr:rowOff>
                  </from>
                  <to>
                    <xdr:col>11</xdr:col>
                    <xdr:colOff>247650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Group Box 21">
              <controlPr defaultSize="0" autoFill="0" autoPict="0">
                <anchor moveWithCells="1">
                  <from>
                    <xdr:col>10</xdr:col>
                    <xdr:colOff>333375</xdr:colOff>
                    <xdr:row>21</xdr:row>
                    <xdr:rowOff>200025</xdr:rowOff>
                  </from>
                  <to>
                    <xdr:col>13</xdr:col>
                    <xdr:colOff>38100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Group Box 22">
              <controlPr defaultSize="0" autoFill="0" autoPict="0">
                <anchor moveWithCells="1">
                  <from>
                    <xdr:col>6</xdr:col>
                    <xdr:colOff>428625</xdr:colOff>
                    <xdr:row>21</xdr:row>
                    <xdr:rowOff>200025</xdr:rowOff>
                  </from>
                  <to>
                    <xdr:col>10</xdr:col>
                    <xdr:colOff>266700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Group Box 24">
              <controlPr defaultSize="0" autoFill="0" autoPict="0">
                <anchor moveWithCells="1">
                  <from>
                    <xdr:col>7</xdr:col>
                    <xdr:colOff>419100</xdr:colOff>
                    <xdr:row>11</xdr:row>
                    <xdr:rowOff>123825</xdr:rowOff>
                  </from>
                  <to>
                    <xdr:col>10</xdr:col>
                    <xdr:colOff>628650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Option Button 25">
              <controlPr defaultSize="0" autoFill="0" autoLine="0" autoPict="0">
                <anchor moveWithCells="1">
                  <from>
                    <xdr:col>10</xdr:col>
                    <xdr:colOff>247650</xdr:colOff>
                    <xdr:row>12</xdr:row>
                    <xdr:rowOff>28575</xdr:rowOff>
                  </from>
                  <to>
                    <xdr:col>10</xdr:col>
                    <xdr:colOff>552450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Option Button 26">
              <controlPr defaultSize="0" autoFill="0" autoLine="0" autoPict="0">
                <anchor moveWithCells="1">
                  <from>
                    <xdr:col>10</xdr:col>
                    <xdr:colOff>247650</xdr:colOff>
                    <xdr:row>13</xdr:row>
                    <xdr:rowOff>9525</xdr:rowOff>
                  </from>
                  <to>
                    <xdr:col>10</xdr:col>
                    <xdr:colOff>552450</xdr:colOff>
                    <xdr:row>14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R51"/>
  <sheetViews>
    <sheetView zoomScale="130" zoomScaleNormal="130" workbookViewId="0">
      <selection activeCell="M36" sqref="M36"/>
    </sheetView>
    <sheetView zoomScale="145" zoomScaleNormal="145" workbookViewId="1"/>
  </sheetViews>
  <sheetFormatPr defaultRowHeight="12.75" x14ac:dyDescent="0.2"/>
  <cols>
    <col min="1" max="1" width="16.7109375" customWidth="1"/>
    <col min="2" max="2" width="9.5703125" customWidth="1"/>
    <col min="3" max="3" width="7.42578125" customWidth="1"/>
    <col min="4" max="4" width="7.28515625" customWidth="1"/>
    <col min="5" max="5" width="8" customWidth="1"/>
    <col min="6" max="6" width="9.42578125" customWidth="1"/>
    <col min="7" max="7" width="14.85546875" customWidth="1"/>
    <col min="8" max="8" width="8.85546875" bestFit="1" customWidth="1"/>
    <col min="9" max="9" width="18.85546875" customWidth="1"/>
    <col min="10" max="10" width="7.42578125" customWidth="1"/>
    <col min="11" max="11" width="11.42578125" customWidth="1"/>
    <col min="12" max="12" width="8.42578125" customWidth="1"/>
    <col min="13" max="13" width="16.140625" customWidth="1"/>
    <col min="14" max="14" width="15.140625" customWidth="1"/>
    <col min="15" max="15" width="9.28515625" bestFit="1" customWidth="1"/>
    <col min="16" max="16" width="17.7109375" customWidth="1"/>
    <col min="17" max="17" width="7" customWidth="1"/>
    <col min="18" max="18" width="6.140625" customWidth="1"/>
  </cols>
  <sheetData>
    <row r="1" spans="1:18" ht="14.25" x14ac:dyDescent="0.2">
      <c r="A1" s="20" t="s">
        <v>20</v>
      </c>
      <c r="C1" s="24">
        <v>1</v>
      </c>
      <c r="E1" s="2"/>
      <c r="G1" t="s">
        <v>32</v>
      </c>
      <c r="H1" t="s">
        <v>30</v>
      </c>
      <c r="I1" s="24">
        <v>5</v>
      </c>
      <c r="K1" s="2" t="s">
        <v>33</v>
      </c>
    </row>
    <row r="2" spans="1:18" ht="14.25" x14ac:dyDescent="0.2">
      <c r="A2" s="20" t="s">
        <v>21</v>
      </c>
      <c r="C2" s="24">
        <v>2</v>
      </c>
      <c r="E2" s="2"/>
      <c r="G2" t="s">
        <v>33</v>
      </c>
      <c r="H2" t="s">
        <v>31</v>
      </c>
      <c r="I2" s="24">
        <v>4</v>
      </c>
      <c r="K2" s="2"/>
    </row>
    <row r="3" spans="1:18" ht="14.25" x14ac:dyDescent="0.2">
      <c r="A3" s="20" t="s">
        <v>22</v>
      </c>
      <c r="C3" s="24">
        <v>3</v>
      </c>
      <c r="H3" s="1" t="s">
        <v>34</v>
      </c>
      <c r="I3" s="25">
        <f>INDEX(cena1,I1-1,I2-1)</f>
        <v>4600</v>
      </c>
      <c r="K3" s="2" t="s">
        <v>32</v>
      </c>
    </row>
    <row r="4" spans="1:18" ht="14.25" x14ac:dyDescent="0.2">
      <c r="A4" s="20" t="s">
        <v>23</v>
      </c>
      <c r="C4" s="24">
        <v>4</v>
      </c>
      <c r="K4" s="2"/>
    </row>
    <row r="5" spans="1:18" ht="14.25" x14ac:dyDescent="0.2">
      <c r="A5" s="20" t="s">
        <v>24</v>
      </c>
      <c r="C5" s="24">
        <v>5</v>
      </c>
      <c r="I5" s="1" t="s">
        <v>35</v>
      </c>
      <c r="J5" s="1" t="s">
        <v>36</v>
      </c>
      <c r="K5" s="1" t="s">
        <v>37</v>
      </c>
    </row>
    <row r="6" spans="1:18" ht="13.5" thickBot="1" x14ac:dyDescent="0.25">
      <c r="A6" s="6"/>
      <c r="B6" s="6"/>
      <c r="C6" s="6"/>
      <c r="D6" s="6"/>
      <c r="E6" s="6"/>
      <c r="H6" s="8">
        <v>1</v>
      </c>
      <c r="I6" t="s">
        <v>39</v>
      </c>
      <c r="J6">
        <v>0</v>
      </c>
      <c r="K6">
        <v>0</v>
      </c>
      <c r="O6">
        <v>3</v>
      </c>
      <c r="P6" t="s">
        <v>62</v>
      </c>
    </row>
    <row r="7" spans="1:18" ht="15.75" thickBot="1" x14ac:dyDescent="0.25">
      <c r="A7" s="3" t="s">
        <v>29</v>
      </c>
      <c r="B7" s="4" t="s">
        <v>64</v>
      </c>
      <c r="C7" s="4" t="s">
        <v>25</v>
      </c>
      <c r="D7" s="4" t="s">
        <v>26</v>
      </c>
      <c r="E7" s="4" t="s">
        <v>27</v>
      </c>
      <c r="F7" s="4" t="s">
        <v>28</v>
      </c>
      <c r="H7" s="8">
        <v>2</v>
      </c>
      <c r="I7" s="15" t="s">
        <v>40</v>
      </c>
      <c r="J7">
        <v>100</v>
      </c>
      <c r="M7" s="19" t="s">
        <v>71</v>
      </c>
      <c r="P7" s="24">
        <v>1</v>
      </c>
      <c r="Q7" t="s">
        <v>31</v>
      </c>
    </row>
    <row r="8" spans="1:18" ht="15.75" thickBot="1" x14ac:dyDescent="0.25">
      <c r="A8" s="5" t="s">
        <v>91</v>
      </c>
      <c r="B8" s="5">
        <v>4</v>
      </c>
      <c r="C8" s="5">
        <v>4200</v>
      </c>
      <c r="D8" s="5">
        <v>4300</v>
      </c>
      <c r="E8" s="5">
        <v>4100</v>
      </c>
      <c r="F8" s="51">
        <v>4400</v>
      </c>
      <c r="G8" s="7">
        <v>1</v>
      </c>
      <c r="H8" s="8">
        <v>3</v>
      </c>
      <c r="I8" t="s">
        <v>100</v>
      </c>
      <c r="J8">
        <v>100</v>
      </c>
      <c r="K8">
        <v>10</v>
      </c>
      <c r="M8" s="26">
        <f>INDEX(J6:K30,$O$6,$P$7)</f>
        <v>100</v>
      </c>
      <c r="P8">
        <v>2</v>
      </c>
    </row>
    <row r="9" spans="1:18" ht="15.75" thickBot="1" x14ac:dyDescent="0.25">
      <c r="A9" s="5" t="s">
        <v>90</v>
      </c>
      <c r="B9" s="5">
        <v>5</v>
      </c>
      <c r="C9" s="5">
        <v>4450</v>
      </c>
      <c r="D9" s="5">
        <v>4550</v>
      </c>
      <c r="E9" s="5">
        <v>4400</v>
      </c>
      <c r="F9" s="51">
        <v>4650</v>
      </c>
      <c r="G9" s="7">
        <v>2</v>
      </c>
      <c r="H9" s="8">
        <v>4</v>
      </c>
      <c r="I9" t="s">
        <v>101</v>
      </c>
      <c r="J9">
        <v>100</v>
      </c>
      <c r="K9">
        <v>10</v>
      </c>
    </row>
    <row r="10" spans="1:18" ht="15.75" thickBot="1" x14ac:dyDescent="0.25">
      <c r="A10" s="5" t="s">
        <v>89</v>
      </c>
      <c r="B10" s="5">
        <v>6</v>
      </c>
      <c r="C10" s="5">
        <v>4450</v>
      </c>
      <c r="D10" s="5">
        <v>4550</v>
      </c>
      <c r="E10" s="5">
        <v>4400</v>
      </c>
      <c r="F10" s="51">
        <v>4650</v>
      </c>
      <c r="G10" s="7">
        <v>3</v>
      </c>
      <c r="H10" s="8">
        <v>5</v>
      </c>
      <c r="I10" t="s">
        <v>102</v>
      </c>
      <c r="J10">
        <v>100</v>
      </c>
      <c r="K10">
        <v>10</v>
      </c>
    </row>
    <row r="11" spans="1:18" ht="15.75" thickBot="1" x14ac:dyDescent="0.25">
      <c r="A11" s="5" t="s">
        <v>79</v>
      </c>
      <c r="B11" s="5">
        <v>7</v>
      </c>
      <c r="C11" s="5">
        <v>4600</v>
      </c>
      <c r="D11" s="5">
        <v>4700</v>
      </c>
      <c r="E11" s="5">
        <v>4600</v>
      </c>
      <c r="F11" s="51">
        <v>4850</v>
      </c>
      <c r="G11" s="7">
        <v>4</v>
      </c>
      <c r="H11" s="8">
        <v>6</v>
      </c>
      <c r="I11" t="s">
        <v>103</v>
      </c>
      <c r="J11">
        <v>200</v>
      </c>
      <c r="K11">
        <v>20</v>
      </c>
      <c r="M11" t="s">
        <v>46</v>
      </c>
      <c r="N11" s="27">
        <v>10</v>
      </c>
      <c r="O11" s="25">
        <f>IF(N11&lt;=4,200,0+IF(N11=12,300,0))</f>
        <v>0</v>
      </c>
    </row>
    <row r="12" spans="1:18" ht="15.75" thickBot="1" x14ac:dyDescent="0.25">
      <c r="A12" s="5" t="s">
        <v>124</v>
      </c>
      <c r="B12" s="5">
        <v>8</v>
      </c>
      <c r="C12" s="5">
        <v>4800</v>
      </c>
      <c r="D12" s="5">
        <v>4900</v>
      </c>
      <c r="E12" s="5">
        <v>4750</v>
      </c>
      <c r="F12" s="51">
        <v>5100</v>
      </c>
      <c r="G12" s="7">
        <v>5</v>
      </c>
      <c r="H12" s="8">
        <v>7</v>
      </c>
      <c r="I12" t="s">
        <v>104</v>
      </c>
      <c r="J12">
        <v>200</v>
      </c>
      <c r="K12">
        <v>20</v>
      </c>
      <c r="M12" t="s">
        <v>47</v>
      </c>
      <c r="O12" s="10">
        <f>IF(N11&lt;=4,H34*20,0)</f>
        <v>0</v>
      </c>
    </row>
    <row r="13" spans="1:18" ht="15.75" thickBot="1" x14ac:dyDescent="0.25">
      <c r="A13" s="5" t="s">
        <v>125</v>
      </c>
      <c r="B13" s="5">
        <v>9</v>
      </c>
      <c r="C13" s="5">
        <v>5100</v>
      </c>
      <c r="D13" s="5">
        <v>5200</v>
      </c>
      <c r="E13" s="5">
        <v>5050</v>
      </c>
      <c r="F13" s="51">
        <v>5300</v>
      </c>
      <c r="G13" s="7">
        <v>6</v>
      </c>
      <c r="H13" s="8">
        <v>8</v>
      </c>
      <c r="I13" t="s">
        <v>105</v>
      </c>
      <c r="J13">
        <v>200</v>
      </c>
      <c r="K13">
        <v>20</v>
      </c>
      <c r="M13" t="s">
        <v>48</v>
      </c>
      <c r="O13" s="28">
        <f>IF(H34&lt;0,H34*-1,IF(N11&lt;=4,H34*20,0))</f>
        <v>0</v>
      </c>
    </row>
    <row r="14" spans="1:18" ht="15.75" thickBot="1" x14ac:dyDescent="0.25">
      <c r="A14" s="5" t="s">
        <v>126</v>
      </c>
      <c r="B14" s="5">
        <v>10</v>
      </c>
      <c r="C14" s="5">
        <v>5300</v>
      </c>
      <c r="D14" s="5">
        <v>5400</v>
      </c>
      <c r="E14" s="5">
        <v>5200</v>
      </c>
      <c r="F14" s="51">
        <v>5500</v>
      </c>
      <c r="G14" s="7">
        <v>7</v>
      </c>
      <c r="H14" s="8">
        <v>9</v>
      </c>
      <c r="I14" t="s">
        <v>106</v>
      </c>
      <c r="J14">
        <v>200</v>
      </c>
      <c r="K14">
        <v>20</v>
      </c>
      <c r="M14" s="9" t="s">
        <v>49</v>
      </c>
      <c r="O14">
        <v>1</v>
      </c>
      <c r="P14" t="s">
        <v>80</v>
      </c>
      <c r="Q14">
        <v>2</v>
      </c>
    </row>
    <row r="15" spans="1:18" ht="15.75" thickBot="1" x14ac:dyDescent="0.25">
      <c r="A15" s="5" t="s">
        <v>127</v>
      </c>
      <c r="B15" s="5">
        <v>11</v>
      </c>
      <c r="C15" s="5">
        <v>6000</v>
      </c>
      <c r="D15" s="5">
        <v>6100</v>
      </c>
      <c r="E15" s="5">
        <v>5950</v>
      </c>
      <c r="F15" s="51">
        <v>6250</v>
      </c>
      <c r="G15" s="7">
        <v>8</v>
      </c>
      <c r="H15" s="8">
        <v>10</v>
      </c>
      <c r="I15" t="s">
        <v>107</v>
      </c>
      <c r="J15">
        <v>200</v>
      </c>
      <c r="K15">
        <v>20</v>
      </c>
      <c r="M15" t="s">
        <v>50</v>
      </c>
      <c r="O15">
        <v>2</v>
      </c>
      <c r="P15" t="s">
        <v>81</v>
      </c>
      <c r="Q15">
        <v>0</v>
      </c>
      <c r="R15">
        <v>0</v>
      </c>
    </row>
    <row r="16" spans="1:18" ht="15.75" thickBot="1" x14ac:dyDescent="0.25">
      <c r="A16" s="5" t="s">
        <v>128</v>
      </c>
      <c r="B16" s="5">
        <v>12</v>
      </c>
      <c r="C16" s="5">
        <v>6200</v>
      </c>
      <c r="D16" s="5">
        <v>6300</v>
      </c>
      <c r="E16" s="5">
        <v>6150</v>
      </c>
      <c r="F16" s="51">
        <v>6500</v>
      </c>
      <c r="G16" s="7">
        <v>9</v>
      </c>
      <c r="H16" s="8">
        <v>11</v>
      </c>
      <c r="I16" t="s">
        <v>108</v>
      </c>
      <c r="J16">
        <v>200</v>
      </c>
      <c r="K16">
        <v>20</v>
      </c>
      <c r="M16" t="s">
        <v>51</v>
      </c>
      <c r="O16">
        <v>3</v>
      </c>
      <c r="P16" t="s">
        <v>82</v>
      </c>
      <c r="Q16">
        <v>250</v>
      </c>
      <c r="R16">
        <v>60</v>
      </c>
    </row>
    <row r="17" spans="1:18" ht="15.75" thickBot="1" x14ac:dyDescent="0.25">
      <c r="A17" s="5" t="s">
        <v>129</v>
      </c>
      <c r="B17" s="5">
        <v>13</v>
      </c>
      <c r="C17" s="5">
        <v>6400</v>
      </c>
      <c r="D17" s="5">
        <v>6500</v>
      </c>
      <c r="E17" s="5">
        <v>6350</v>
      </c>
      <c r="F17" s="51">
        <v>6650</v>
      </c>
      <c r="G17" s="7">
        <v>10</v>
      </c>
      <c r="H17" s="8">
        <v>12</v>
      </c>
      <c r="I17" t="s">
        <v>109</v>
      </c>
      <c r="J17">
        <v>200</v>
      </c>
      <c r="K17">
        <v>20</v>
      </c>
      <c r="M17" t="s">
        <v>52</v>
      </c>
      <c r="O17">
        <v>4</v>
      </c>
      <c r="P17" t="s">
        <v>83</v>
      </c>
      <c r="Q17">
        <v>250</v>
      </c>
      <c r="R17">
        <v>60</v>
      </c>
    </row>
    <row r="18" spans="1:18" ht="15.75" thickBot="1" x14ac:dyDescent="0.25">
      <c r="A18" s="5" t="s">
        <v>130</v>
      </c>
      <c r="B18" s="5">
        <v>14</v>
      </c>
      <c r="C18" s="5">
        <v>6600</v>
      </c>
      <c r="D18" s="5">
        <v>6700</v>
      </c>
      <c r="E18" s="5">
        <v>6550</v>
      </c>
      <c r="F18" s="51">
        <v>6850</v>
      </c>
      <c r="G18" s="7">
        <v>11</v>
      </c>
      <c r="H18" s="8">
        <v>13</v>
      </c>
      <c r="I18" t="s">
        <v>110</v>
      </c>
      <c r="J18">
        <v>200</v>
      </c>
      <c r="K18">
        <v>20</v>
      </c>
      <c r="M18" t="s">
        <v>53</v>
      </c>
      <c r="O18">
        <v>5</v>
      </c>
      <c r="P18" t="s">
        <v>45</v>
      </c>
      <c r="Q18">
        <v>1000</v>
      </c>
      <c r="R18">
        <v>190</v>
      </c>
    </row>
    <row r="19" spans="1:18" ht="15.75" thickBot="1" x14ac:dyDescent="0.25">
      <c r="A19" s="5" t="s">
        <v>131</v>
      </c>
      <c r="B19" s="5">
        <v>15</v>
      </c>
      <c r="C19" s="5">
        <v>6800</v>
      </c>
      <c r="D19" s="5">
        <v>6900</v>
      </c>
      <c r="E19" s="5">
        <v>6750</v>
      </c>
      <c r="F19" s="51">
        <v>7050</v>
      </c>
      <c r="G19" s="7">
        <v>12</v>
      </c>
      <c r="H19" s="8">
        <v>14</v>
      </c>
      <c r="I19" t="s">
        <v>111</v>
      </c>
      <c r="J19">
        <v>200</v>
      </c>
      <c r="K19">
        <v>20</v>
      </c>
      <c r="M19" t="s">
        <v>54</v>
      </c>
      <c r="O19">
        <v>6</v>
      </c>
      <c r="P19" t="s">
        <v>84</v>
      </c>
      <c r="Q19">
        <v>1000</v>
      </c>
      <c r="R19">
        <v>190</v>
      </c>
    </row>
    <row r="20" spans="1:18" ht="15.75" thickBot="1" x14ac:dyDescent="0.25">
      <c r="A20" s="5" t="s">
        <v>132</v>
      </c>
      <c r="B20" s="5">
        <v>16</v>
      </c>
      <c r="C20" s="5">
        <v>7100</v>
      </c>
      <c r="D20" s="5">
        <v>7200</v>
      </c>
      <c r="E20" s="5">
        <v>7050</v>
      </c>
      <c r="F20" s="51">
        <v>7350</v>
      </c>
      <c r="G20" s="7">
        <v>13</v>
      </c>
      <c r="H20" s="8">
        <v>15</v>
      </c>
      <c r="I20" t="s">
        <v>112</v>
      </c>
      <c r="J20">
        <v>200</v>
      </c>
      <c r="K20">
        <v>20</v>
      </c>
      <c r="M20" t="s">
        <v>55</v>
      </c>
    </row>
    <row r="21" spans="1:18" ht="15.75" thickBot="1" x14ac:dyDescent="0.25">
      <c r="A21" s="5" t="s">
        <v>133</v>
      </c>
      <c r="B21" s="5">
        <v>17</v>
      </c>
      <c r="C21" s="5">
        <v>7300</v>
      </c>
      <c r="D21" s="5">
        <v>7400</v>
      </c>
      <c r="E21" s="5">
        <v>7250</v>
      </c>
      <c r="F21" s="51">
        <v>7550</v>
      </c>
      <c r="G21" s="7">
        <v>14</v>
      </c>
      <c r="H21" s="8">
        <v>16</v>
      </c>
      <c r="I21" t="s">
        <v>113</v>
      </c>
      <c r="J21">
        <v>400</v>
      </c>
      <c r="K21">
        <v>40</v>
      </c>
      <c r="M21" t="s">
        <v>56</v>
      </c>
      <c r="Q21">
        <f>VLOOKUP(Q14,O14:R19,3,0)</f>
        <v>0</v>
      </c>
    </row>
    <row r="22" spans="1:18" ht="15.75" thickBot="1" x14ac:dyDescent="0.25">
      <c r="A22" s="5" t="s">
        <v>102</v>
      </c>
      <c r="B22" s="5">
        <v>18</v>
      </c>
      <c r="C22" s="5">
        <v>7500</v>
      </c>
      <c r="D22" s="5">
        <v>7600</v>
      </c>
      <c r="E22" s="5">
        <v>7450</v>
      </c>
      <c r="F22" s="51">
        <v>7750</v>
      </c>
      <c r="G22" s="7">
        <v>15</v>
      </c>
      <c r="H22" s="8">
        <v>17</v>
      </c>
      <c r="I22" t="s">
        <v>114</v>
      </c>
      <c r="J22">
        <v>400</v>
      </c>
      <c r="K22">
        <v>40</v>
      </c>
      <c r="M22" s="12" t="s">
        <v>141</v>
      </c>
      <c r="Q22">
        <f>VLOOKUP(Q14,O14:R19,4,1)</f>
        <v>0</v>
      </c>
    </row>
    <row r="23" spans="1:18" ht="15.75" thickBot="1" x14ac:dyDescent="0.25">
      <c r="A23" s="5" t="s">
        <v>112</v>
      </c>
      <c r="B23" s="5">
        <v>19</v>
      </c>
      <c r="C23" s="5">
        <v>7950</v>
      </c>
      <c r="D23" s="5">
        <v>8050</v>
      </c>
      <c r="E23" s="5">
        <v>7900</v>
      </c>
      <c r="F23" s="51">
        <v>8200</v>
      </c>
      <c r="G23" s="7">
        <v>16</v>
      </c>
      <c r="H23" s="8">
        <v>18</v>
      </c>
      <c r="I23" t="s">
        <v>115</v>
      </c>
      <c r="J23">
        <v>400</v>
      </c>
      <c r="K23">
        <v>40</v>
      </c>
      <c r="M23" s="2" t="s">
        <v>70</v>
      </c>
      <c r="N23" s="16">
        <f>I3</f>
        <v>4600</v>
      </c>
    </row>
    <row r="24" spans="1:18" ht="15.75" thickBot="1" x14ac:dyDescent="0.25">
      <c r="A24" s="5" t="s">
        <v>122</v>
      </c>
      <c r="B24" s="5">
        <v>20</v>
      </c>
      <c r="C24" s="5">
        <v>8150</v>
      </c>
      <c r="D24" s="5">
        <v>8250</v>
      </c>
      <c r="E24" s="5">
        <v>8100</v>
      </c>
      <c r="F24" s="51">
        <v>8400</v>
      </c>
      <c r="G24" s="7">
        <v>17</v>
      </c>
      <c r="H24" s="8">
        <v>19</v>
      </c>
      <c r="I24" t="s">
        <v>116</v>
      </c>
      <c r="J24">
        <v>400</v>
      </c>
      <c r="K24">
        <v>40</v>
      </c>
      <c r="M24" s="2" t="s">
        <v>71</v>
      </c>
      <c r="N24" s="16">
        <f>M8+H36</f>
        <v>110</v>
      </c>
    </row>
    <row r="25" spans="1:18" ht="15.75" thickBot="1" x14ac:dyDescent="0.25">
      <c r="A25" s="5" t="s">
        <v>134</v>
      </c>
      <c r="B25" s="5">
        <v>21</v>
      </c>
      <c r="C25" s="5">
        <v>8350</v>
      </c>
      <c r="D25" s="5">
        <v>8450</v>
      </c>
      <c r="E25" s="5">
        <v>8300</v>
      </c>
      <c r="F25" s="51">
        <v>8600</v>
      </c>
      <c r="G25" s="7">
        <v>18</v>
      </c>
      <c r="H25" s="8">
        <v>20</v>
      </c>
      <c r="I25" t="s">
        <v>117</v>
      </c>
      <c r="J25">
        <v>400</v>
      </c>
      <c r="K25">
        <v>40</v>
      </c>
      <c r="M25" s="2" t="s">
        <v>72</v>
      </c>
      <c r="N25" s="16">
        <f>O11</f>
        <v>0</v>
      </c>
      <c r="P25" t="s">
        <v>86</v>
      </c>
    </row>
    <row r="26" spans="1:18" ht="15.75" thickBot="1" x14ac:dyDescent="0.25">
      <c r="A26" s="5" t="s">
        <v>135</v>
      </c>
      <c r="B26" s="5">
        <v>22</v>
      </c>
      <c r="C26" s="5">
        <v>8550</v>
      </c>
      <c r="D26" s="5">
        <v>8650</v>
      </c>
      <c r="E26" s="5">
        <v>8500</v>
      </c>
      <c r="F26" s="51">
        <v>8800</v>
      </c>
      <c r="G26" s="7">
        <v>19</v>
      </c>
      <c r="H26" s="8">
        <v>21</v>
      </c>
      <c r="I26" t="s">
        <v>118</v>
      </c>
      <c r="J26">
        <v>400</v>
      </c>
      <c r="K26">
        <v>40</v>
      </c>
      <c r="M26" s="2" t="s">
        <v>7</v>
      </c>
      <c r="N26" s="16">
        <f>IF(zaporna&gt;=1,O12,0)</f>
        <v>0</v>
      </c>
      <c r="P26" t="s">
        <v>87</v>
      </c>
    </row>
    <row r="27" spans="1:18" ht="15.75" thickBot="1" x14ac:dyDescent="0.25">
      <c r="A27" s="5" t="s">
        <v>136</v>
      </c>
      <c r="B27" s="5">
        <v>23</v>
      </c>
      <c r="C27" s="5">
        <v>8750</v>
      </c>
      <c r="D27" s="5">
        <v>8850</v>
      </c>
      <c r="E27" s="5">
        <v>8700</v>
      </c>
      <c r="F27" s="51">
        <v>8950</v>
      </c>
      <c r="G27" s="7">
        <v>20</v>
      </c>
      <c r="H27" s="8">
        <v>22</v>
      </c>
      <c r="I27" t="s">
        <v>119</v>
      </c>
      <c r="J27">
        <v>400</v>
      </c>
      <c r="K27">
        <v>40</v>
      </c>
      <c r="M27" s="2" t="s">
        <v>85</v>
      </c>
      <c r="N27" s="16">
        <f>H37</f>
        <v>0</v>
      </c>
      <c r="P27" t="s">
        <v>88</v>
      </c>
    </row>
    <row r="28" spans="1:18" x14ac:dyDescent="0.2">
      <c r="H28" s="8">
        <v>23</v>
      </c>
      <c r="I28" t="s">
        <v>120</v>
      </c>
      <c r="J28">
        <v>400</v>
      </c>
      <c r="K28">
        <v>40</v>
      </c>
      <c r="M28" s="2" t="s">
        <v>73</v>
      </c>
      <c r="N28" s="16">
        <f>E35</f>
        <v>85</v>
      </c>
    </row>
    <row r="29" spans="1:18" x14ac:dyDescent="0.2">
      <c r="H29" s="8">
        <v>24</v>
      </c>
      <c r="I29" t="s">
        <v>121</v>
      </c>
      <c r="J29">
        <v>400</v>
      </c>
      <c r="K29">
        <v>40</v>
      </c>
      <c r="M29" s="2" t="s">
        <v>74</v>
      </c>
      <c r="N29" s="16">
        <f>L35</f>
        <v>0</v>
      </c>
    </row>
    <row r="30" spans="1:18" x14ac:dyDescent="0.2">
      <c r="A30" t="s">
        <v>38</v>
      </c>
      <c r="H30" s="8">
        <v>25</v>
      </c>
      <c r="I30" t="s">
        <v>122</v>
      </c>
      <c r="J30">
        <v>400</v>
      </c>
      <c r="K30">
        <v>40</v>
      </c>
      <c r="M30" s="17" t="s">
        <v>78</v>
      </c>
      <c r="N30" s="31">
        <f>SUM(N23:N29)</f>
        <v>4795</v>
      </c>
    </row>
    <row r="31" spans="1:18" x14ac:dyDescent="0.2">
      <c r="A31" t="s">
        <v>41</v>
      </c>
      <c r="E31" s="1"/>
      <c r="F31" s="1"/>
      <c r="M31" s="2" t="s">
        <v>19</v>
      </c>
      <c r="N31" s="16">
        <f>L40</f>
        <v>0</v>
      </c>
    </row>
    <row r="32" spans="1:18" ht="15" x14ac:dyDescent="0.25">
      <c r="A32" t="s">
        <v>40</v>
      </c>
      <c r="D32" s="30">
        <v>1</v>
      </c>
      <c r="E32" s="11" t="s">
        <v>65</v>
      </c>
      <c r="F32" s="11"/>
      <c r="G32" t="s">
        <v>59</v>
      </c>
      <c r="M32" s="22" t="s">
        <v>78</v>
      </c>
      <c r="N32" s="32">
        <f>SUM(N30:N31)*1.25</f>
        <v>5993.75</v>
      </c>
    </row>
    <row r="33" spans="1:15" x14ac:dyDescent="0.2">
      <c r="A33" t="s">
        <v>42</v>
      </c>
      <c r="D33" s="30">
        <v>1</v>
      </c>
      <c r="E33" s="13" t="s">
        <v>67</v>
      </c>
      <c r="F33" s="11"/>
      <c r="G33" t="s">
        <v>60</v>
      </c>
      <c r="H33">
        <f>INDEX(A8:B27,$I$1-1,2)</f>
        <v>7</v>
      </c>
      <c r="I33" s="34" t="b">
        <v>0</v>
      </c>
      <c r="J33" t="s">
        <v>69</v>
      </c>
      <c r="L33">
        <f>IF(I33=FALSE,0,100)</f>
        <v>0</v>
      </c>
      <c r="M33" s="2" t="s">
        <v>93</v>
      </c>
      <c r="N33" s="16">
        <f>H38</f>
        <v>0</v>
      </c>
    </row>
    <row r="34" spans="1:15" x14ac:dyDescent="0.2">
      <c r="A34" t="s">
        <v>43</v>
      </c>
      <c r="D34" s="30">
        <v>2</v>
      </c>
      <c r="E34" s="13" t="s">
        <v>66</v>
      </c>
      <c r="F34" s="11"/>
      <c r="G34" t="s">
        <v>61</v>
      </c>
      <c r="H34">
        <f>H33-6</f>
        <v>1</v>
      </c>
      <c r="I34" s="34" t="b">
        <v>0</v>
      </c>
      <c r="J34" t="s">
        <v>18</v>
      </c>
      <c r="L34">
        <f>IF(I34=FALSE,0,200)</f>
        <v>0</v>
      </c>
      <c r="M34" s="23" t="s">
        <v>137</v>
      </c>
      <c r="N34" s="10">
        <f>SUM(N32:N33)*1.21</f>
        <v>7252.4375</v>
      </c>
    </row>
    <row r="35" spans="1:15" x14ac:dyDescent="0.2">
      <c r="A35" t="s">
        <v>44</v>
      </c>
      <c r="D35" s="30">
        <f>SUM(D32:D34)</f>
        <v>4</v>
      </c>
      <c r="E35" s="25">
        <f>IF(D35=3,0,IF(D35=4,85,500))</f>
        <v>85</v>
      </c>
      <c r="G35" t="s">
        <v>63</v>
      </c>
      <c r="H35">
        <f>IF(H34&gt;=1,VLOOKUP(O6,H6:K30,4,2),0)</f>
        <v>10</v>
      </c>
      <c r="I35" s="34"/>
      <c r="L35" s="25">
        <f>SUM(L33:L34)</f>
        <v>0</v>
      </c>
      <c r="N35" s="16"/>
      <c r="O35" s="29">
        <f>IF(O12&lt;0,O12*-1,O12)</f>
        <v>0</v>
      </c>
    </row>
    <row r="36" spans="1:15" x14ac:dyDescent="0.2">
      <c r="D36" s="8"/>
      <c r="H36" s="25">
        <f>H35*H34</f>
        <v>10</v>
      </c>
      <c r="I36" s="34"/>
      <c r="M36" s="23" t="s">
        <v>140</v>
      </c>
      <c r="N36" s="10">
        <f>IF(I1&gt;6,IF(A38=2,N34*2,N34),N34)</f>
        <v>7252.4375</v>
      </c>
    </row>
    <row r="37" spans="1:15" x14ac:dyDescent="0.2">
      <c r="A37" s="24">
        <v>1</v>
      </c>
      <c r="B37" t="s">
        <v>57</v>
      </c>
      <c r="D37" s="30">
        <v>1</v>
      </c>
      <c r="E37" s="14" t="s">
        <v>14</v>
      </c>
      <c r="G37" t="s">
        <v>92</v>
      </c>
      <c r="H37" s="25">
        <f>IF(H34&gt;=1,H34*Q22,0)</f>
        <v>0</v>
      </c>
      <c r="I37" s="34" t="b">
        <v>0</v>
      </c>
      <c r="J37" t="s">
        <v>75</v>
      </c>
      <c r="L37">
        <f>IF(I37=FALSE,0,-150)</f>
        <v>0</v>
      </c>
      <c r="N37" s="16"/>
    </row>
    <row r="38" spans="1:15" x14ac:dyDescent="0.2">
      <c r="A38" s="24">
        <v>1</v>
      </c>
      <c r="B38" t="s">
        <v>58</v>
      </c>
      <c r="D38" s="30">
        <v>1</v>
      </c>
      <c r="E38" s="14" t="s">
        <v>15</v>
      </c>
      <c r="G38" t="s">
        <v>93</v>
      </c>
      <c r="H38" s="25">
        <f>Q21</f>
        <v>0</v>
      </c>
      <c r="I38" s="34" t="b">
        <v>0</v>
      </c>
      <c r="J38" t="s">
        <v>76</v>
      </c>
      <c r="L38">
        <f>IF(I38=FALSE,0,-50)</f>
        <v>0</v>
      </c>
    </row>
    <row r="39" spans="1:15" x14ac:dyDescent="0.2">
      <c r="A39" s="33">
        <f>SUM(A37:A38)</f>
        <v>2</v>
      </c>
      <c r="B39" t="s">
        <v>139</v>
      </c>
      <c r="D39" s="30">
        <v>3</v>
      </c>
      <c r="E39" s="14" t="s">
        <v>16</v>
      </c>
      <c r="I39" s="34" t="b">
        <v>0</v>
      </c>
      <c r="J39" t="s">
        <v>77</v>
      </c>
      <c r="L39">
        <f>IF(I39=FALSE,0,-25)</f>
        <v>0</v>
      </c>
    </row>
    <row r="40" spans="1:15" x14ac:dyDescent="0.2">
      <c r="D40" s="8"/>
      <c r="E40" s="10"/>
      <c r="L40" s="25">
        <f>SUM(L37:L39)</f>
        <v>0</v>
      </c>
    </row>
    <row r="41" spans="1:15" x14ac:dyDescent="0.2">
      <c r="D41" s="8"/>
    </row>
    <row r="42" spans="1:15" x14ac:dyDescent="0.2">
      <c r="D42" s="8"/>
    </row>
    <row r="43" spans="1:15" x14ac:dyDescent="0.2">
      <c r="D43" s="8"/>
    </row>
    <row r="44" spans="1:15" x14ac:dyDescent="0.2">
      <c r="D44" s="8"/>
    </row>
    <row r="45" spans="1:15" x14ac:dyDescent="0.2">
      <c r="D45" s="8"/>
    </row>
    <row r="46" spans="1:15" x14ac:dyDescent="0.2">
      <c r="D46" s="8"/>
    </row>
    <row r="47" spans="1:15" x14ac:dyDescent="0.2">
      <c r="D47" s="8"/>
    </row>
    <row r="48" spans="1:15" x14ac:dyDescent="0.2">
      <c r="D48" s="8"/>
    </row>
    <row r="49" spans="4:4" x14ac:dyDescent="0.2">
      <c r="D49" s="8"/>
    </row>
    <row r="50" spans="4:4" x14ac:dyDescent="0.2">
      <c r="D50" s="8"/>
    </row>
    <row r="51" spans="4:4" x14ac:dyDescent="0.2">
      <c r="D51" s="8"/>
    </row>
  </sheetData>
  <phoneticPr fontId="3" type="noConversion"/>
  <conditionalFormatting sqref="B8:F27">
    <cfRule type="expression" dxfId="0" priority="1" stopIfTrue="1">
      <formula>B8=VLOOKUP($I$3,cena1,$I$2-1,1)</formula>
    </cfRule>
  </conditionalFormatting>
  <pageMargins left="0.78740157499999996" right="0.78740157499999996" top="0.984251969" bottom="0.984251969" header="0.4921259845" footer="0.4921259845"/>
  <pageSetup paperSize="17" orientation="portrait" horizontalDpi="300" verticalDpi="300" r:id="rId1"/>
  <headerFooter alignWithMargins="0"/>
  <cellWatches>
    <cellWatch r="N23"/>
    <cellWatch r="N24"/>
    <cellWatch r="N25"/>
    <cellWatch r="N26"/>
    <cellWatch r="N27"/>
    <cellWatch r="N28"/>
    <cellWatch r="N29"/>
    <cellWatch r="N30"/>
    <cellWatch r="N31"/>
    <cellWatch r="N32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" r:id="rId4" name="Drop Down 40">
              <controlPr locked="0" defaultSize="0" autoLine="0" autoPict="0">
                <anchor moveWithCells="1">
                  <from>
                    <xdr:col>11</xdr:col>
                    <xdr:colOff>0</xdr:colOff>
                    <xdr:row>0</xdr:row>
                    <xdr:rowOff>19050</xdr:rowOff>
                  </from>
                  <to>
                    <xdr:col>12</xdr:col>
                    <xdr:colOff>800100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Drop Down 41">
              <controlPr locked="0" defaultSize="0" autoLine="0" autoPict="0">
                <anchor moveWithCells="1">
                  <from>
                    <xdr:col>11</xdr:col>
                    <xdr:colOff>9525</xdr:colOff>
                    <xdr:row>1</xdr:row>
                    <xdr:rowOff>171450</xdr:rowOff>
                  </from>
                  <to>
                    <xdr:col>12</xdr:col>
                    <xdr:colOff>809625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Drop Down 42">
              <controlPr locked="0" defaultSize="0" autoLine="0" autoPict="0">
                <anchor moveWithCells="1">
                  <from>
                    <xdr:col>11</xdr:col>
                    <xdr:colOff>9525</xdr:colOff>
                    <xdr:row>3</xdr:row>
                    <xdr:rowOff>152400</xdr:rowOff>
                  </from>
                  <to>
                    <xdr:col>12</xdr:col>
                    <xdr:colOff>819150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Drop Down 57">
              <controlPr locked="0" defaultSize="0" autoLine="0" autoPict="0">
                <anchor moveWithCells="1">
                  <from>
                    <xdr:col>14</xdr:col>
                    <xdr:colOff>0</xdr:colOff>
                    <xdr:row>2</xdr:row>
                    <xdr:rowOff>171450</xdr:rowOff>
                  </from>
                  <to>
                    <xdr:col>15</xdr:col>
                    <xdr:colOff>457200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" name="Check Box 88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123825</xdr:rowOff>
                  </from>
                  <to>
                    <xdr:col>8</xdr:col>
                    <xdr:colOff>381000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" name="Check Box 89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133350</xdr:rowOff>
                  </from>
                  <to>
                    <xdr:col>8</xdr:col>
                    <xdr:colOff>381000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0" name="Check Box 93">
              <controlPr defaultSize="0" autoFill="0" autoLine="0" autoPict="0">
                <anchor moveWithCells="1">
                  <from>
                    <xdr:col>8</xdr:col>
                    <xdr:colOff>85725</xdr:colOff>
                    <xdr:row>35</xdr:row>
                    <xdr:rowOff>142875</xdr:rowOff>
                  </from>
                  <to>
                    <xdr:col>8</xdr:col>
                    <xdr:colOff>752475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1" name="Check Box 94">
              <controlPr defaultSize="0" autoFill="0" autoLine="0" autoPict="0">
                <anchor moveWithCells="1">
                  <from>
                    <xdr:col>8</xdr:col>
                    <xdr:colOff>85725</xdr:colOff>
                    <xdr:row>36</xdr:row>
                    <xdr:rowOff>142875</xdr:rowOff>
                  </from>
                  <to>
                    <xdr:col>8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2" name="Check Box 95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142875</xdr:rowOff>
                  </from>
                  <to>
                    <xdr:col>8</xdr:col>
                    <xdr:colOff>752475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3" name="Drop Down 125">
              <controlPr locked="0" defaultSize="0" autoLine="0" autoPict="0">
                <anchor moveWithCells="1">
                  <from>
                    <xdr:col>15</xdr:col>
                    <xdr:colOff>0</xdr:colOff>
                    <xdr:row>31</xdr:row>
                    <xdr:rowOff>19050</xdr:rowOff>
                  </from>
                  <to>
                    <xdr:col>15</xdr:col>
                    <xdr:colOff>1085850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Formulář</vt:lpstr>
      <vt:lpstr>Data</vt:lpstr>
      <vt:lpstr>cena1</vt:lpstr>
      <vt:lpstr>kazetove</vt:lpstr>
      <vt:lpstr>plne</vt:lpstr>
      <vt:lpstr>rady3</vt:lpstr>
      <vt:lpstr>rady4</vt:lpstr>
      <vt:lpstr>sirka</vt:lpstr>
      <vt:lpstr>typ</vt:lpstr>
      <vt:lpstr>typy</vt:lpstr>
      <vt:lpstr>zaporna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Chak</dc:creator>
  <cp:lastModifiedBy>Pavel Chadalík</cp:lastModifiedBy>
  <dcterms:created xsi:type="dcterms:W3CDTF">2023-01-03T17:46:04Z</dcterms:created>
  <dcterms:modified xsi:type="dcterms:W3CDTF">2024-04-07T16:50:10Z</dcterms:modified>
</cp:coreProperties>
</file>